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9320" windowHeight="9732" tabRatio="432" activeTab="0"/>
  </bookViews>
  <sheets>
    <sheet name="VZ" sheetId="1" r:id="rId1"/>
    <sheet name="Kadrovski načrt" sheetId="2" r:id="rId2"/>
    <sheet name="Pogodbeni izvajalci" sheetId="3" r:id="rId3"/>
    <sheet name="presežni delavci" sheetId="4" r:id="rId4"/>
    <sheet name="List1" sheetId="5" r:id="rId5"/>
  </sheets>
  <externalReferences>
    <externalReference r:id="rId8"/>
  </externalReferences>
  <definedNames>
    <definedName name="_xlnm.Print_Area" localSheetId="1">'Kadrovski načrt'!$A$1:$P$47</definedName>
    <definedName name="_xlnm.Print_Area" localSheetId="2">'Pogodbeni izvajalci'!$A$1:$G$25</definedName>
    <definedName name="_xlnm.Print_Area" localSheetId="3">'presežni delavci'!$A$1:$E$26</definedName>
    <definedName name="_xlnm.Print_Titles" localSheetId="1">'Kadrovski načrt'!$3:$6</definedName>
  </definedNames>
  <calcPr fullCalcOnLoad="1"/>
</workbook>
</file>

<file path=xl/sharedStrings.xml><?xml version="1.0" encoding="utf-8"?>
<sst xmlns="http://schemas.openxmlformats.org/spreadsheetml/2006/main" count="156" uniqueCount="123">
  <si>
    <t xml:space="preserve">Tarifni razred </t>
  </si>
  <si>
    <t>Delovno mesto oz. naziv</t>
  </si>
  <si>
    <t>a</t>
  </si>
  <si>
    <t>b</t>
  </si>
  <si>
    <t>c</t>
  </si>
  <si>
    <t>d</t>
  </si>
  <si>
    <t>e</t>
  </si>
  <si>
    <t>f</t>
  </si>
  <si>
    <t>DELOVNA MESTA PO UREDBI O PLAČAH DIREKTORJEV V JAVNEM SEKTORJU</t>
  </si>
  <si>
    <t>IX</t>
  </si>
  <si>
    <t>VII/2</t>
  </si>
  <si>
    <t>Dekan</t>
  </si>
  <si>
    <t xml:space="preserve"> DELOVNA MESTA PODSKUPINE D1: VISOKOŠOLSKI UČITELJI IN VISOKOŠOLSKI SODELAVCI</t>
  </si>
  <si>
    <t>Redni profesor</t>
  </si>
  <si>
    <t>Izredni profesor</t>
  </si>
  <si>
    <t>Docent</t>
  </si>
  <si>
    <t>VIII</t>
  </si>
  <si>
    <t>Višji predavatelj</t>
  </si>
  <si>
    <t>Predavatelj</t>
  </si>
  <si>
    <t>VISOKOŠOLSKI UČITELJI SKUPAJ</t>
  </si>
  <si>
    <t>IX.</t>
  </si>
  <si>
    <t>Asistent z doktoratom</t>
  </si>
  <si>
    <t>Asistent z magisterijem</t>
  </si>
  <si>
    <t>Asistent</t>
  </si>
  <si>
    <t>VISOKOŠOLSKI SODELAVCI SKUPAJ</t>
  </si>
  <si>
    <t>SKUPAJ VISOKOŠOLSKI UČITELJI IN VISOKOŠOLSKI SODELAVCI</t>
  </si>
  <si>
    <t xml:space="preserve">SKUPAJ ŠTEVILO ZAPOSLENIH NA DELOVNIH MESTIH PODSKUPINE D1 </t>
  </si>
  <si>
    <t>DELOVNA MESTA SKUPINE H: RAZISKOVALCI IN STROKOVNI SODELAVCI</t>
  </si>
  <si>
    <t>Znanstveni svetnik</t>
  </si>
  <si>
    <t>Višji znanstveni sodelavec</t>
  </si>
  <si>
    <t>Znanstveni sodelavec</t>
  </si>
  <si>
    <t>Mladi raziskovalec z magisterijem na doktorskem študiju</t>
  </si>
  <si>
    <t>Raziskovalec</t>
  </si>
  <si>
    <t>Mladi raziskovalec</t>
  </si>
  <si>
    <t>SKUPNO ŠTEVILO ZAPOSLENIH NA DELOVNIH MESTIH SKUPINE H</t>
  </si>
  <si>
    <t>SPREMLJAJOČA DELOVNA MESTA: STROKOVNI DELAVCI, ADMINISTRATIVNI DELAVCI IN OSTALI STROKOVNO TEHNIČNI DELAVCI</t>
  </si>
  <si>
    <t>Delovna mesta skupine J</t>
  </si>
  <si>
    <t>VII/1</t>
  </si>
  <si>
    <t>PR DM OD 33 DO 34</t>
  </si>
  <si>
    <t xml:space="preserve">PR DM OD 32 </t>
  </si>
  <si>
    <t>PR DM OD 30 DO 31</t>
  </si>
  <si>
    <t>PR DM 29</t>
  </si>
  <si>
    <t>PR DM OD 27 DO 28</t>
  </si>
  <si>
    <t>V</t>
  </si>
  <si>
    <t>SKUPNO ŠTEVILO ZAPOSLENIH NA DELOVNIH MESTIH SKUPINE J</t>
  </si>
  <si>
    <t>SKUPAJ VSI ZAPOSLENI</t>
  </si>
  <si>
    <t>Druga stopnja</t>
  </si>
  <si>
    <t>Vrednost pogodb zunanjih pogodbenih izvajalcev za izvedbo študijskih programov</t>
  </si>
  <si>
    <t>Vrednost pogodb zaposlenih, ki študijske programe izvajajo na podlagi avtorskih ali drugih pogodb</t>
  </si>
  <si>
    <t xml:space="preserve">Način izpolnjevanja tabele: </t>
  </si>
  <si>
    <t>Dodiplomski študij**</t>
  </si>
  <si>
    <t>Število zunanjih pogodbenih izvajalcev za izvedbo študijskih programov*</t>
  </si>
  <si>
    <t>Število zaposlenih, ki študijske programe izvajajo na podlagi avtorskih ali drugih pogodb*</t>
  </si>
  <si>
    <t>Skupno število zunanjih pogodbenih izvajalcev za izvedbo študijskih programov*</t>
  </si>
  <si>
    <t>g</t>
  </si>
  <si>
    <t>h</t>
  </si>
  <si>
    <t>i</t>
  </si>
  <si>
    <t>Kraj in datum:</t>
  </si>
  <si>
    <t>Oseba odgovorna za sestavljanje:</t>
  </si>
  <si>
    <t>Odgovorna oseba:</t>
  </si>
  <si>
    <t>Ime in priimek</t>
  </si>
  <si>
    <t>Telefon:</t>
  </si>
  <si>
    <t xml:space="preserve">KADROVSKI NAČRT </t>
  </si>
  <si>
    <t>Skupaj***</t>
  </si>
  <si>
    <t>Visokošolski zavod</t>
  </si>
  <si>
    <t>Tabelo odbarvate, obarvano je le zato, da se pred izpolnjevanjem vidi, kaj je povezano</t>
  </si>
  <si>
    <t>Skupna vrednost pogodb izvajalcev, ki študijske programe izvajajo na podlagi avtorskih ali drugih pogodb****</t>
  </si>
  <si>
    <t>*** V stolpec "Skupaj" se vpiše število zunanjih izvajalcev, pri čemer se vsakega izvajalca šteje samo enkrat ne glede na to na koliko stopnjah izvaja študij. Stolpec tako ni seštevek predhodnih stolpcev.</t>
  </si>
  <si>
    <t>* V vrstice "število zunanjih izvajalcev…" se vpisuje število oseb, ki izvajajo študijske programe  po pogodbi na dodiplomskem študiju oziroma 2. stopnji, kar lahko pomeni, da se ista oseba lahko pojavi v vseh treh stolpcih</t>
  </si>
  <si>
    <t>** V stolpec "Dodiplomski študij" se vpisuje podatke v zvezi s študijskimi programi 1. stopnje, visokošolskimi strokovnimi in univerzitetnimi študijskimi programi, sprejetimi pred 11. 6. 2004.</t>
  </si>
  <si>
    <t xml:space="preserve">Povprečni plačni razred redno zaposlenih </t>
  </si>
  <si>
    <t>SKUPAJ DELOVNA MESTA PO UREDBI O PLAČAH DIREKTORJEV V JAVNEM SEKTORJU - plačna skupina B</t>
  </si>
  <si>
    <t>j</t>
  </si>
  <si>
    <t>k=c+g</t>
  </si>
  <si>
    <t>l=d+h</t>
  </si>
  <si>
    <t>m=e+i</t>
  </si>
  <si>
    <t>n=f+j</t>
  </si>
  <si>
    <t>o</t>
  </si>
  <si>
    <t>p</t>
  </si>
  <si>
    <t>****V vrstici "Skupna vrednost pogodb izvajalcev, ki študijske programe izvajajo na podlagi avtorskih ali drugih pogodb" mora biti v stolpcih za "Dodiplomski študij" vrednost skladna s tabelo Posebni del, vrstica A14b stolpec 13 za leto 2012 in 2013</t>
  </si>
  <si>
    <t>Delovno mesto</t>
  </si>
  <si>
    <t>Napredovalni plačni razred v katerega je uvrščen zaposleni</t>
  </si>
  <si>
    <t>število presežnih delavcev</t>
  </si>
  <si>
    <t xml:space="preserve">ocenjena višina odpravnine </t>
  </si>
  <si>
    <t>Skupaj</t>
  </si>
  <si>
    <t>Število presežnih delavcev</t>
  </si>
  <si>
    <t>S presežnimi delavci je mišljeno odpuščanje iz poslovnih razlogov.</t>
  </si>
  <si>
    <t>Tabela 5: Načrtovano odpuščanje iz poslovnih razlogov - presežni delavci</t>
  </si>
  <si>
    <t>Članica/druga članica/rektorat univerze</t>
  </si>
  <si>
    <t>Št. vseh zaposlenih 31.12.15</t>
  </si>
  <si>
    <t>Št. zaposlenih v % zaposlitve 31.12.15</t>
  </si>
  <si>
    <t>Št. zaposlenih v % zaposlitve 2015</t>
  </si>
  <si>
    <t>Št. vseh izvajalcev v % zaposlitve 2015</t>
  </si>
  <si>
    <t>Povprečni plačni razred 31. 12. 2015</t>
  </si>
  <si>
    <t>Tabela 3: Podatki o pogodbenih izvajalcih študijskih programov - redni študij</t>
  </si>
  <si>
    <t>ZA LETO 2016</t>
  </si>
  <si>
    <t>Fakulteta za informacijske študije v Novem mestu</t>
  </si>
  <si>
    <t>Nataša Lisec</t>
  </si>
  <si>
    <t>Tabela 1: Število redno zaposlenih in število pogodbenih sodelavcev v letu 2015 in načrt za leto 2016</t>
  </si>
  <si>
    <t>Število redno zaposlenih na dan 31. 12. 2015</t>
  </si>
  <si>
    <t>Načrtovano število redno zaposlenih na dan 31. 12. 2016</t>
  </si>
  <si>
    <t>Št. vseh zaposlenih 31.12.16</t>
  </si>
  <si>
    <t>Št. zaposlenih v % zaposlitve 31.12.16</t>
  </si>
  <si>
    <t>Št. pogodbenih sodelavcev 2015</t>
  </si>
  <si>
    <t xml:space="preserve">Število pogodbenih sodelavcev v letu 2015 </t>
  </si>
  <si>
    <t>Načrtovano število pogodbenih sodelavcev v letu 2016</t>
  </si>
  <si>
    <t>Število pogodbenih sodelavcev 2016</t>
  </si>
  <si>
    <t>Št. zaposlenih v % zaposlitve 2016</t>
  </si>
  <si>
    <t>Skupno število izvajalcev v letu 2015</t>
  </si>
  <si>
    <t>Št. vseh izvajalcev 2015</t>
  </si>
  <si>
    <t>Načrtovano število izvajalcev v letu 2016</t>
  </si>
  <si>
    <t>Število vseh izvajalcev 2016</t>
  </si>
  <si>
    <t>Št. vseh izvajalcev v % zaposlitve 2016</t>
  </si>
  <si>
    <t>Povprečni plačni razred 31. 12. 2016</t>
  </si>
  <si>
    <t>Realizacija 2015</t>
  </si>
  <si>
    <t>Načrt 2016</t>
  </si>
  <si>
    <t>red. prof. dr. Nadja Damij</t>
  </si>
  <si>
    <t>Novo mesto, 19. 7. 2016</t>
  </si>
  <si>
    <t>FIŠ</t>
  </si>
  <si>
    <t>ASISTENT Z DOKTORATOM (D010001)</t>
  </si>
  <si>
    <t>ASISTENT (D010001)</t>
  </si>
  <si>
    <t>PREDAVATELJ - VIŠJI PREDAVATELJ (D17004)</t>
  </si>
  <si>
    <t>2.474.85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</si>
</sst>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21" borderId="0" applyNumberFormat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1" applyFont="1" applyAlignment="1" applyProtection="1">
      <alignment wrapText="1"/>
      <protection/>
    </xf>
    <xf numFmtId="0" fontId="2" fillId="0" borderId="0" xfId="41" applyProtection="1">
      <alignment/>
      <protection/>
    </xf>
    <xf numFmtId="0" fontId="5" fillId="0" borderId="0" xfId="41" applyFont="1" applyAlignment="1" applyProtection="1">
      <alignment horizontal="center" wrapText="1"/>
      <protection/>
    </xf>
    <xf numFmtId="0" fontId="6" fillId="0" borderId="0" xfId="41" applyFont="1" applyAlignment="1" applyProtection="1">
      <alignment horizontal="right"/>
      <protection/>
    </xf>
    <xf numFmtId="0" fontId="2" fillId="0" borderId="0" xfId="41" applyFill="1" applyBorder="1" applyAlignment="1" applyProtection="1">
      <alignment wrapText="1"/>
      <protection/>
    </xf>
    <xf numFmtId="0" fontId="2" fillId="0" borderId="0" xfId="41" applyBorder="1" applyProtection="1">
      <alignment/>
      <protection/>
    </xf>
    <xf numFmtId="49" fontId="7" fillId="0" borderId="0" xfId="41" applyNumberFormat="1" applyFont="1" applyAlignment="1" applyProtection="1">
      <alignment/>
      <protection/>
    </xf>
    <xf numFmtId="49" fontId="2" fillId="0" borderId="0" xfId="41" applyNumberFormat="1" applyFont="1" applyAlignment="1" applyProtection="1">
      <alignment horizontal="center" vertical="center"/>
      <protection/>
    </xf>
    <xf numFmtId="3" fontId="2" fillId="0" borderId="0" xfId="41" applyNumberFormat="1" applyFont="1" applyAlignment="1" applyProtection="1">
      <alignment wrapText="1"/>
      <protection/>
    </xf>
    <xf numFmtId="49" fontId="2" fillId="0" borderId="0" xfId="41" applyNumberFormat="1" applyFont="1" applyAlignment="1" applyProtection="1">
      <alignment wrapText="1"/>
      <protection/>
    </xf>
    <xf numFmtId="0" fontId="2" fillId="0" borderId="0" xfId="41" applyFont="1" applyAlignment="1" applyProtection="1">
      <alignment wrapText="1"/>
      <protection/>
    </xf>
    <xf numFmtId="49" fontId="2" fillId="32" borderId="10" xfId="41" applyNumberFormat="1" applyFont="1" applyFill="1" applyBorder="1" applyAlignment="1" applyProtection="1">
      <alignment/>
      <protection locked="0"/>
    </xf>
    <xf numFmtId="49" fontId="2" fillId="0" borderId="0" xfId="41" applyNumberFormat="1" applyFont="1" applyBorder="1" applyAlignment="1" applyProtection="1">
      <alignment/>
      <protection/>
    </xf>
    <xf numFmtId="3" fontId="2" fillId="0" borderId="0" xfId="41" applyNumberFormat="1" applyFont="1" applyProtection="1">
      <alignment/>
      <protection/>
    </xf>
    <xf numFmtId="3" fontId="7" fillId="0" borderId="0" xfId="41" applyNumberFormat="1" applyFont="1" applyAlignment="1" applyProtection="1">
      <alignment horizontal="right" wrapText="1"/>
      <protection/>
    </xf>
    <xf numFmtId="0" fontId="7" fillId="0" borderId="0" xfId="41" applyFont="1" applyAlignment="1" applyProtection="1">
      <alignment wrapText="1"/>
      <protection/>
    </xf>
    <xf numFmtId="0" fontId="2" fillId="0" borderId="0" xfId="41" applyFont="1" applyProtection="1">
      <alignment/>
      <protection/>
    </xf>
    <xf numFmtId="3" fontId="2" fillId="32" borderId="10" xfId="41" applyNumberFormat="1" applyFont="1" applyFill="1" applyBorder="1" applyProtection="1">
      <alignment/>
      <protection locked="0"/>
    </xf>
    <xf numFmtId="0" fontId="7" fillId="0" borderId="0" xfId="41" applyFont="1" applyProtection="1">
      <alignment/>
      <protection/>
    </xf>
    <xf numFmtId="0" fontId="2" fillId="32" borderId="10" xfId="41" applyFill="1" applyBorder="1" applyProtection="1">
      <alignment/>
      <protection locked="0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172" fontId="9" fillId="33" borderId="11" xfId="0" applyNumberFormat="1" applyFont="1" applyFill="1" applyBorder="1" applyAlignment="1">
      <alignment horizontal="right" wrapText="1"/>
    </xf>
    <xf numFmtId="172" fontId="8" fillId="33" borderId="12" xfId="0" applyNumberFormat="1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172" fontId="8" fillId="34" borderId="12" xfId="0" applyNumberFormat="1" applyFont="1" applyFill="1" applyBorder="1" applyAlignment="1">
      <alignment horizontal="right" wrapText="1"/>
    </xf>
    <xf numFmtId="0" fontId="9" fillId="35" borderId="11" xfId="0" applyFont="1" applyFill="1" applyBorder="1" applyAlignment="1">
      <alignment horizontal="left" wrapText="1"/>
    </xf>
    <xf numFmtId="172" fontId="9" fillId="35" borderId="11" xfId="0" applyNumberFormat="1" applyFont="1" applyFill="1" applyBorder="1" applyAlignment="1">
      <alignment horizontal="right" wrapText="1"/>
    </xf>
    <xf numFmtId="172" fontId="8" fillId="35" borderId="14" xfId="0" applyNumberFormat="1" applyFont="1" applyFill="1" applyBorder="1" applyAlignment="1">
      <alignment horizontal="right" wrapText="1"/>
    </xf>
    <xf numFmtId="172" fontId="8" fillId="0" borderId="12" xfId="0" applyNumberFormat="1" applyFont="1" applyBorder="1" applyAlignment="1">
      <alignment horizontal="right" wrapText="1"/>
    </xf>
    <xf numFmtId="0" fontId="9" fillId="3" borderId="11" xfId="0" applyFont="1" applyFill="1" applyBorder="1" applyAlignment="1">
      <alignment horizontal="left" wrapText="1"/>
    </xf>
    <xf numFmtId="172" fontId="9" fillId="3" borderId="11" xfId="0" applyNumberFormat="1" applyFont="1" applyFill="1" applyBorder="1" applyAlignment="1">
      <alignment horizontal="right" wrapText="1"/>
    </xf>
    <xf numFmtId="172" fontId="9" fillId="34" borderId="11" xfId="0" applyNumberFormat="1" applyFont="1" applyFill="1" applyBorder="1" applyAlignment="1">
      <alignment horizontal="right" wrapText="1"/>
    </xf>
    <xf numFmtId="172" fontId="9" fillId="34" borderId="13" xfId="0" applyNumberFormat="1" applyFont="1" applyFill="1" applyBorder="1" applyAlignment="1">
      <alignment horizontal="right" wrapText="1"/>
    </xf>
    <xf numFmtId="172" fontId="8" fillId="3" borderId="14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49" fontId="8" fillId="0" borderId="0" xfId="41" applyNumberFormat="1" applyFont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4" fontId="0" fillId="4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left" wrapText="1"/>
    </xf>
    <xf numFmtId="4" fontId="0" fillId="34" borderId="13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3" fontId="8" fillId="0" borderId="0" xfId="41" applyNumberFormat="1" applyFont="1" applyAlignment="1" applyProtection="1">
      <alignment horizontal="left" wrapText="1"/>
      <protection/>
    </xf>
    <xf numFmtId="0" fontId="13" fillId="0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4" fillId="0" borderId="0" xfId="41" applyFont="1" applyAlignment="1" applyProtection="1">
      <alignment horizontal="center" wrapText="1"/>
      <protection/>
    </xf>
    <xf numFmtId="0" fontId="6" fillId="32" borderId="10" xfId="41" applyFont="1" applyFill="1" applyBorder="1" applyAlignment="1" applyProtection="1">
      <alignment horizontal="left" wrapText="1"/>
      <protection locked="0"/>
    </xf>
    <xf numFmtId="0" fontId="8" fillId="36" borderId="15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8" fillId="35" borderId="14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3" fontId="8" fillId="0" borderId="0" xfId="41" applyNumberFormat="1" applyFont="1" applyAlignment="1" applyProtection="1">
      <alignment horizontal="left" wrapText="1"/>
      <protection/>
    </xf>
    <xf numFmtId="0" fontId="8" fillId="0" borderId="17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left" wrapText="1"/>
    </xf>
    <xf numFmtId="0" fontId="8" fillId="3" borderId="23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8" fillId="34" borderId="1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a\AppData\Local\Microsoft\Windows\Temporary%20Internet%20Files\Low\Content.IE5\789J4X04\predlog%20FN%20tabele%202011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E23"/>
  <sheetViews>
    <sheetView tabSelected="1" zoomScale="70" zoomScaleNormal="70" zoomScalePageLayoutView="0" workbookViewId="0" topLeftCell="A1">
      <selection activeCell="C18" sqref="C18"/>
    </sheetView>
  </sheetViews>
  <sheetFormatPr defaultColWidth="9.140625" defaultRowHeight="15"/>
  <cols>
    <col min="1" max="1" width="31.28125" style="4" customWidth="1"/>
    <col min="2" max="3" width="30.7109375" style="4" customWidth="1"/>
    <col min="4" max="16384" width="9.140625" style="4" customWidth="1"/>
  </cols>
  <sheetData>
    <row r="2" spans="1:5" ht="18" customHeight="1">
      <c r="A2" s="66" t="s">
        <v>62</v>
      </c>
      <c r="B2" s="66"/>
      <c r="C2" s="66"/>
      <c r="D2" s="3"/>
      <c r="E2" s="3"/>
    </row>
    <row r="3" spans="1:5" ht="17.25">
      <c r="A3" s="66" t="s">
        <v>95</v>
      </c>
      <c r="B3" s="66"/>
      <c r="C3" s="66"/>
      <c r="D3" s="5"/>
      <c r="E3" s="5"/>
    </row>
    <row r="4" spans="1:5" ht="13.5">
      <c r="A4" s="5"/>
      <c r="B4" s="5"/>
      <c r="C4" s="5"/>
      <c r="D4" s="5"/>
      <c r="E4" s="5"/>
    </row>
    <row r="6" spans="1:5" ht="13.5">
      <c r="A6" s="6" t="s">
        <v>64</v>
      </c>
      <c r="B6" s="67" t="s">
        <v>96</v>
      </c>
      <c r="C6" s="67"/>
      <c r="D6" s="7"/>
      <c r="E6" s="7"/>
    </row>
    <row r="7" spans="4:5" ht="12.75">
      <c r="D7" s="8"/>
      <c r="E7" s="8"/>
    </row>
    <row r="10" spans="1:3" ht="12.75">
      <c r="A10" s="9" t="s">
        <v>57</v>
      </c>
      <c r="B10" s="10"/>
      <c r="C10" s="11"/>
    </row>
    <row r="11" spans="1:3" ht="12.75">
      <c r="A11" s="12"/>
      <c r="B11" s="10"/>
      <c r="C11" s="13"/>
    </row>
    <row r="12" spans="1:3" ht="12.75">
      <c r="A12" s="14" t="s">
        <v>117</v>
      </c>
      <c r="B12" s="15"/>
      <c r="C12" s="15"/>
    </row>
    <row r="13" spans="1:3" ht="12.75">
      <c r="A13" s="12"/>
      <c r="B13" s="10"/>
      <c r="C13" s="16"/>
    </row>
    <row r="14" spans="1:3" ht="12.75">
      <c r="A14" s="12"/>
      <c r="B14" s="10"/>
      <c r="C14" s="16"/>
    </row>
    <row r="15" spans="1:3" ht="13.5" customHeight="1">
      <c r="A15" s="17" t="s">
        <v>58</v>
      </c>
      <c r="B15" s="13"/>
      <c r="C15" s="18" t="s">
        <v>59</v>
      </c>
    </row>
    <row r="16" spans="1:3" ht="12.75">
      <c r="A16" s="13" t="s">
        <v>60</v>
      </c>
      <c r="B16" s="13"/>
      <c r="C16" s="19" t="s">
        <v>60</v>
      </c>
    </row>
    <row r="17" spans="1:3" ht="12.75">
      <c r="A17" s="13"/>
      <c r="B17" s="13"/>
      <c r="C17" s="19"/>
    </row>
    <row r="18" spans="1:3" ht="12.75">
      <c r="A18" s="14" t="s">
        <v>97</v>
      </c>
      <c r="B18" s="15"/>
      <c r="C18" s="20" t="s">
        <v>116</v>
      </c>
    </row>
    <row r="21" ht="12.75">
      <c r="A21" s="21" t="s">
        <v>61</v>
      </c>
    </row>
    <row r="23" ht="12.75">
      <c r="A23" s="22">
        <v>59082062</v>
      </c>
    </row>
  </sheetData>
  <sheetProtection/>
  <mergeCells count="3">
    <mergeCell ref="A2:C2"/>
    <mergeCell ref="A3:C3"/>
    <mergeCell ref="B6:C6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85" zoomScaleNormal="85" zoomScalePageLayoutView="0" workbookViewId="0" topLeftCell="A1">
      <pane xSplit="2" ySplit="7" topLeftCell="C3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F41" sqref="F41"/>
    </sheetView>
  </sheetViews>
  <sheetFormatPr defaultColWidth="9.140625" defaultRowHeight="15"/>
  <cols>
    <col min="1" max="1" width="8.421875" style="2" customWidth="1"/>
    <col min="2" max="2" width="25.57421875" style="2" customWidth="1"/>
    <col min="3" max="4" width="12.140625" style="2" customWidth="1"/>
    <col min="5" max="5" width="11.140625" style="2" customWidth="1"/>
    <col min="6" max="6" width="12.00390625" style="2" customWidth="1"/>
    <col min="7" max="8" width="12.140625" style="2" customWidth="1"/>
    <col min="9" max="10" width="11.57421875" style="2" customWidth="1"/>
    <col min="11" max="12" width="12.140625" style="2" customWidth="1"/>
    <col min="13" max="16" width="11.57421875" style="2" customWidth="1"/>
    <col min="17" max="16384" width="9.140625" style="2" customWidth="1"/>
  </cols>
  <sheetData>
    <row r="1" spans="1:12" ht="14.25">
      <c r="A1" t="s">
        <v>98</v>
      </c>
      <c r="I1" s="63"/>
      <c r="J1" s="63"/>
      <c r="K1" s="63"/>
      <c r="L1" s="63"/>
    </row>
    <row r="3" spans="1:16" ht="36" customHeight="1">
      <c r="A3" s="92" t="s">
        <v>0</v>
      </c>
      <c r="B3" s="70" t="s">
        <v>1</v>
      </c>
      <c r="C3" s="70" t="s">
        <v>99</v>
      </c>
      <c r="D3" s="70"/>
      <c r="E3" s="70" t="s">
        <v>100</v>
      </c>
      <c r="F3" s="70"/>
      <c r="G3" s="70" t="s">
        <v>104</v>
      </c>
      <c r="H3" s="70"/>
      <c r="I3" s="70" t="s">
        <v>105</v>
      </c>
      <c r="J3" s="70"/>
      <c r="K3" s="70" t="s">
        <v>108</v>
      </c>
      <c r="L3" s="70"/>
      <c r="M3" s="70" t="s">
        <v>110</v>
      </c>
      <c r="N3" s="70"/>
      <c r="O3" s="70" t="s">
        <v>70</v>
      </c>
      <c r="P3" s="70"/>
    </row>
    <row r="4" spans="1:16" ht="10.5" customHeight="1">
      <c r="A4" s="9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57">
      <c r="A5" s="94"/>
      <c r="B5" s="70"/>
      <c r="C5" s="26" t="s">
        <v>89</v>
      </c>
      <c r="D5" s="26" t="s">
        <v>90</v>
      </c>
      <c r="E5" s="26" t="s">
        <v>101</v>
      </c>
      <c r="F5" s="26" t="s">
        <v>102</v>
      </c>
      <c r="G5" s="26" t="s">
        <v>103</v>
      </c>
      <c r="H5" s="26" t="s">
        <v>91</v>
      </c>
      <c r="I5" s="26" t="s">
        <v>106</v>
      </c>
      <c r="J5" s="26" t="s">
        <v>107</v>
      </c>
      <c r="K5" s="26" t="s">
        <v>109</v>
      </c>
      <c r="L5" s="26" t="s">
        <v>92</v>
      </c>
      <c r="M5" s="26" t="s">
        <v>111</v>
      </c>
      <c r="N5" s="26" t="s">
        <v>112</v>
      </c>
      <c r="O5" s="26" t="s">
        <v>93</v>
      </c>
      <c r="P5" s="26" t="s">
        <v>113</v>
      </c>
    </row>
    <row r="6" spans="1:16" s="56" customFormat="1" ht="12">
      <c r="A6" s="55" t="s">
        <v>2</v>
      </c>
      <c r="B6" s="55" t="s">
        <v>3</v>
      </c>
      <c r="C6" s="55" t="s">
        <v>4</v>
      </c>
      <c r="D6" s="55" t="s">
        <v>5</v>
      </c>
      <c r="E6" s="55" t="s">
        <v>6</v>
      </c>
      <c r="F6" s="55" t="s">
        <v>7</v>
      </c>
      <c r="G6" s="55" t="s">
        <v>54</v>
      </c>
      <c r="H6" s="55" t="s">
        <v>55</v>
      </c>
      <c r="I6" s="55" t="s">
        <v>56</v>
      </c>
      <c r="J6" s="55" t="s">
        <v>72</v>
      </c>
      <c r="K6" s="55" t="s">
        <v>73</v>
      </c>
      <c r="L6" s="55" t="s">
        <v>74</v>
      </c>
      <c r="M6" s="55" t="s">
        <v>75</v>
      </c>
      <c r="N6" s="55" t="s">
        <v>76</v>
      </c>
      <c r="O6" s="55" t="s">
        <v>77</v>
      </c>
      <c r="P6" s="55" t="s">
        <v>78</v>
      </c>
    </row>
    <row r="7" spans="1:14" ht="15" customHeight="1">
      <c r="A7" s="68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6" ht="14.25">
      <c r="A8" s="27" t="s">
        <v>9</v>
      </c>
      <c r="B8" s="27" t="s">
        <v>11</v>
      </c>
      <c r="C8" s="28">
        <v>1</v>
      </c>
      <c r="D8" s="28">
        <v>1</v>
      </c>
      <c r="E8" s="28">
        <v>1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28">
        <f>C8+G8</f>
        <v>1</v>
      </c>
      <c r="L8" s="28">
        <f>D8+H8</f>
        <v>1</v>
      </c>
      <c r="M8" s="28">
        <f>E8+I8</f>
        <v>1</v>
      </c>
      <c r="N8" s="28">
        <f>F8+J8</f>
        <v>1</v>
      </c>
      <c r="O8" s="28">
        <v>52</v>
      </c>
      <c r="P8" s="28">
        <v>52</v>
      </c>
    </row>
    <row r="9" spans="1:16" ht="46.5" customHeight="1">
      <c r="A9" s="71" t="s">
        <v>71</v>
      </c>
      <c r="B9" s="72"/>
      <c r="C9" s="29">
        <f aca="true" t="shared" si="0" ref="C9:N9">SUM(C8:C8)</f>
        <v>1</v>
      </c>
      <c r="D9" s="29">
        <f t="shared" si="0"/>
        <v>1</v>
      </c>
      <c r="E9" s="29">
        <f t="shared" si="0"/>
        <v>1</v>
      </c>
      <c r="F9" s="29">
        <f t="shared" si="0"/>
        <v>1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1</v>
      </c>
      <c r="L9" s="29">
        <f t="shared" si="0"/>
        <v>1</v>
      </c>
      <c r="M9" s="29">
        <f t="shared" si="0"/>
        <v>1</v>
      </c>
      <c r="N9" s="29">
        <f t="shared" si="0"/>
        <v>1</v>
      </c>
      <c r="O9" s="29">
        <f>(O8*D8)/D9</f>
        <v>52</v>
      </c>
      <c r="P9" s="29">
        <f>(P8*F8)/F9</f>
        <v>52</v>
      </c>
    </row>
    <row r="10" spans="1:14" ht="15" customHeight="1">
      <c r="A10" s="68" t="s">
        <v>12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6" ht="28.5" customHeight="1">
      <c r="A11" s="30" t="s">
        <v>9</v>
      </c>
      <c r="B11" s="30" t="s">
        <v>13</v>
      </c>
      <c r="C11" s="39">
        <v>3</v>
      </c>
      <c r="D11" s="39">
        <v>1.2</v>
      </c>
      <c r="E11" s="39">
        <v>3</v>
      </c>
      <c r="F11" s="39">
        <v>1.2</v>
      </c>
      <c r="G11" s="39">
        <v>3</v>
      </c>
      <c r="H11" s="39">
        <v>0.75</v>
      </c>
      <c r="I11" s="39">
        <v>1</v>
      </c>
      <c r="J11" s="39">
        <v>0.8</v>
      </c>
      <c r="K11" s="39">
        <f aca="true" t="shared" si="1" ref="K11:N15">C11+G11</f>
        <v>6</v>
      </c>
      <c r="L11" s="39">
        <f t="shared" si="1"/>
        <v>1.95</v>
      </c>
      <c r="M11" s="39">
        <f t="shared" si="1"/>
        <v>4</v>
      </c>
      <c r="N11" s="39">
        <f t="shared" si="1"/>
        <v>2</v>
      </c>
      <c r="O11" s="39">
        <v>51</v>
      </c>
      <c r="P11" s="39">
        <f>(52*0.325+48*1+51*0.5+51*0.4)/F11</f>
        <v>92.33333333333334</v>
      </c>
    </row>
    <row r="12" spans="1:16" ht="14.25">
      <c r="A12" s="30" t="s">
        <v>9</v>
      </c>
      <c r="B12" s="30" t="s">
        <v>14</v>
      </c>
      <c r="C12" s="39">
        <v>2</v>
      </c>
      <c r="D12" s="39">
        <v>2</v>
      </c>
      <c r="E12" s="39">
        <v>1</v>
      </c>
      <c r="F12" s="39">
        <v>1</v>
      </c>
      <c r="G12" s="39">
        <v>3</v>
      </c>
      <c r="H12" s="39">
        <v>0.3</v>
      </c>
      <c r="I12" s="39">
        <v>3</v>
      </c>
      <c r="J12" s="39">
        <v>1.05</v>
      </c>
      <c r="K12" s="39">
        <f t="shared" si="1"/>
        <v>5</v>
      </c>
      <c r="L12" s="39">
        <f t="shared" si="1"/>
        <v>2.3</v>
      </c>
      <c r="M12" s="39">
        <f t="shared" si="1"/>
        <v>4</v>
      </c>
      <c r="N12" s="39">
        <f t="shared" si="1"/>
        <v>2.05</v>
      </c>
      <c r="O12" s="39">
        <v>49</v>
      </c>
      <c r="P12" s="39">
        <v>47</v>
      </c>
    </row>
    <row r="13" spans="1:16" ht="14.25">
      <c r="A13" s="30" t="s">
        <v>9</v>
      </c>
      <c r="B13" s="30" t="s">
        <v>15</v>
      </c>
      <c r="C13" s="39">
        <v>2</v>
      </c>
      <c r="D13" s="39">
        <v>1.4</v>
      </c>
      <c r="E13" s="39">
        <v>2</v>
      </c>
      <c r="F13" s="39">
        <v>2</v>
      </c>
      <c r="G13" s="39">
        <v>10</v>
      </c>
      <c r="H13" s="39">
        <v>1.3</v>
      </c>
      <c r="I13" s="39">
        <v>8</v>
      </c>
      <c r="J13" s="39">
        <v>2.26</v>
      </c>
      <c r="K13" s="39">
        <f t="shared" si="1"/>
        <v>12</v>
      </c>
      <c r="L13" s="39">
        <f t="shared" si="1"/>
        <v>2.7</v>
      </c>
      <c r="M13" s="39">
        <f t="shared" si="1"/>
        <v>10</v>
      </c>
      <c r="N13" s="39">
        <f t="shared" si="1"/>
        <v>4.26</v>
      </c>
      <c r="O13" s="39">
        <v>43</v>
      </c>
      <c r="P13" s="39">
        <f>(45*1+42*1)/F13</f>
        <v>43.5</v>
      </c>
    </row>
    <row r="14" spans="1:16" ht="14.25">
      <c r="A14" s="30" t="s">
        <v>10</v>
      </c>
      <c r="B14" s="30" t="s">
        <v>17</v>
      </c>
      <c r="C14" s="39">
        <v>1</v>
      </c>
      <c r="D14" s="39">
        <v>1</v>
      </c>
      <c r="E14" s="39">
        <v>0</v>
      </c>
      <c r="F14" s="39">
        <v>0</v>
      </c>
      <c r="G14" s="39">
        <v>3</v>
      </c>
      <c r="H14" s="39">
        <v>0.3</v>
      </c>
      <c r="I14" s="39">
        <v>1</v>
      </c>
      <c r="J14" s="39">
        <v>0.15</v>
      </c>
      <c r="K14" s="39">
        <f t="shared" si="1"/>
        <v>4</v>
      </c>
      <c r="L14" s="39">
        <f t="shared" si="1"/>
        <v>1.3</v>
      </c>
      <c r="M14" s="39">
        <f t="shared" si="1"/>
        <v>1</v>
      </c>
      <c r="N14" s="39">
        <f t="shared" si="1"/>
        <v>0.15</v>
      </c>
      <c r="O14" s="39">
        <v>38</v>
      </c>
      <c r="P14" s="39">
        <v>40</v>
      </c>
    </row>
    <row r="15" spans="1:16" ht="15" thickBot="1">
      <c r="A15" s="31" t="s">
        <v>10</v>
      </c>
      <c r="B15" s="31" t="s">
        <v>18</v>
      </c>
      <c r="C15" s="40">
        <v>0</v>
      </c>
      <c r="D15" s="40">
        <v>0</v>
      </c>
      <c r="E15" s="40">
        <v>0</v>
      </c>
      <c r="F15" s="40">
        <v>0</v>
      </c>
      <c r="G15" s="40">
        <v>5</v>
      </c>
      <c r="H15" s="40">
        <v>0.8</v>
      </c>
      <c r="I15" s="40">
        <v>1</v>
      </c>
      <c r="J15" s="40">
        <v>0.02</v>
      </c>
      <c r="K15" s="40">
        <f t="shared" si="1"/>
        <v>5</v>
      </c>
      <c r="L15" s="40">
        <f t="shared" si="1"/>
        <v>0.8</v>
      </c>
      <c r="M15" s="40">
        <f t="shared" si="1"/>
        <v>1</v>
      </c>
      <c r="N15" s="40">
        <f t="shared" si="1"/>
        <v>0.02</v>
      </c>
      <c r="O15" s="40"/>
      <c r="P15" s="40"/>
    </row>
    <row r="16" spans="1:16" ht="27" customHeight="1" thickTop="1">
      <c r="A16" s="78" t="s">
        <v>19</v>
      </c>
      <c r="B16" s="79"/>
      <c r="C16" s="32">
        <f aca="true" t="shared" si="2" ref="C16:N16">SUM(C11:C15)</f>
        <v>8</v>
      </c>
      <c r="D16" s="32">
        <f t="shared" si="2"/>
        <v>5.6</v>
      </c>
      <c r="E16" s="32">
        <f t="shared" si="2"/>
        <v>6</v>
      </c>
      <c r="F16" s="32">
        <f t="shared" si="2"/>
        <v>4.2</v>
      </c>
      <c r="G16" s="32">
        <f t="shared" si="2"/>
        <v>24</v>
      </c>
      <c r="H16" s="32">
        <f t="shared" si="2"/>
        <v>3.45</v>
      </c>
      <c r="I16" s="32">
        <f t="shared" si="2"/>
        <v>14</v>
      </c>
      <c r="J16" s="32">
        <f t="shared" si="2"/>
        <v>4.279999999999999</v>
      </c>
      <c r="K16" s="32">
        <f t="shared" si="2"/>
        <v>32</v>
      </c>
      <c r="L16" s="32">
        <f t="shared" si="2"/>
        <v>9.05</v>
      </c>
      <c r="M16" s="32">
        <f t="shared" si="2"/>
        <v>20</v>
      </c>
      <c r="N16" s="32">
        <f t="shared" si="2"/>
        <v>8.479999999999999</v>
      </c>
      <c r="O16" s="32">
        <f>(O11*D11+D12*O12+D13*O13+D14*O14+D15*O15)/D16</f>
        <v>45.964285714285715</v>
      </c>
      <c r="P16" s="32">
        <f>(P11*F11+P12*F12+P13*F13+P14*F14+P15*F15)/F16</f>
        <v>58.285714285714285</v>
      </c>
    </row>
    <row r="17" spans="1:16" ht="14.25">
      <c r="A17" s="33" t="s">
        <v>20</v>
      </c>
      <c r="B17" s="33" t="s">
        <v>21</v>
      </c>
      <c r="C17" s="34">
        <v>1</v>
      </c>
      <c r="D17" s="34">
        <v>1</v>
      </c>
      <c r="E17" s="34">
        <v>0</v>
      </c>
      <c r="F17" s="34">
        <v>0</v>
      </c>
      <c r="G17" s="34">
        <v>2</v>
      </c>
      <c r="H17" s="34">
        <v>0.2</v>
      </c>
      <c r="I17" s="34">
        <v>0</v>
      </c>
      <c r="J17" s="34">
        <v>0</v>
      </c>
      <c r="K17" s="34">
        <f aca="true" t="shared" si="3" ref="K17:N19">C17+G17</f>
        <v>3</v>
      </c>
      <c r="L17" s="34">
        <f t="shared" si="3"/>
        <v>1.2</v>
      </c>
      <c r="M17" s="34">
        <f t="shared" si="3"/>
        <v>0</v>
      </c>
      <c r="N17" s="34">
        <f t="shared" si="3"/>
        <v>0</v>
      </c>
      <c r="O17" s="34">
        <v>40</v>
      </c>
      <c r="P17" s="34" t="e">
        <f>(40*1+41*1+40*1)/F17</f>
        <v>#DIV/0!</v>
      </c>
    </row>
    <row r="18" spans="1:16" ht="14.25">
      <c r="A18" s="33" t="s">
        <v>16</v>
      </c>
      <c r="B18" s="33" t="s">
        <v>22</v>
      </c>
      <c r="C18" s="34">
        <v>0</v>
      </c>
      <c r="D18" s="34">
        <v>0</v>
      </c>
      <c r="E18" s="34">
        <v>0</v>
      </c>
      <c r="F18" s="34">
        <v>0</v>
      </c>
      <c r="G18" s="34">
        <v>2</v>
      </c>
      <c r="H18" s="34">
        <v>0.4</v>
      </c>
      <c r="I18" s="34">
        <v>2</v>
      </c>
      <c r="J18" s="34">
        <v>0.9</v>
      </c>
      <c r="K18" s="34">
        <f t="shared" si="3"/>
        <v>2</v>
      </c>
      <c r="L18" s="34">
        <f t="shared" si="3"/>
        <v>0.4</v>
      </c>
      <c r="M18" s="34">
        <f t="shared" si="3"/>
        <v>2</v>
      </c>
      <c r="N18" s="34">
        <f t="shared" si="3"/>
        <v>0.9</v>
      </c>
      <c r="O18" s="34"/>
      <c r="P18" s="34"/>
    </row>
    <row r="19" spans="1:16" ht="15" thickBot="1">
      <c r="A19" s="33" t="s">
        <v>10</v>
      </c>
      <c r="B19" s="33" t="s">
        <v>23</v>
      </c>
      <c r="C19" s="34">
        <v>1</v>
      </c>
      <c r="D19" s="34">
        <v>1</v>
      </c>
      <c r="E19" s="34">
        <v>0</v>
      </c>
      <c r="F19" s="34">
        <v>0</v>
      </c>
      <c r="G19" s="34">
        <v>6</v>
      </c>
      <c r="H19" s="34">
        <v>1.4</v>
      </c>
      <c r="I19" s="34">
        <v>4</v>
      </c>
      <c r="J19" s="34">
        <v>0.26</v>
      </c>
      <c r="K19" s="34">
        <f t="shared" si="3"/>
        <v>7</v>
      </c>
      <c r="L19" s="34">
        <f t="shared" si="3"/>
        <v>2.4</v>
      </c>
      <c r="M19" s="34">
        <f t="shared" si="3"/>
        <v>4</v>
      </c>
      <c r="N19" s="34">
        <f t="shared" si="3"/>
        <v>0.26</v>
      </c>
      <c r="O19" s="34">
        <v>32</v>
      </c>
      <c r="P19" s="34">
        <v>30</v>
      </c>
    </row>
    <row r="20" spans="1:16" ht="27" customHeight="1" thickBot="1" thickTop="1">
      <c r="A20" s="80" t="s">
        <v>24</v>
      </c>
      <c r="B20" s="80"/>
      <c r="C20" s="35">
        <f aca="true" t="shared" si="4" ref="C20:N20">SUM(C17:C19)</f>
        <v>2</v>
      </c>
      <c r="D20" s="35">
        <f t="shared" si="4"/>
        <v>2</v>
      </c>
      <c r="E20" s="35">
        <f t="shared" si="4"/>
        <v>0</v>
      </c>
      <c r="F20" s="35">
        <f t="shared" si="4"/>
        <v>0</v>
      </c>
      <c r="G20" s="35">
        <f t="shared" si="4"/>
        <v>10</v>
      </c>
      <c r="H20" s="35">
        <f t="shared" si="4"/>
        <v>2</v>
      </c>
      <c r="I20" s="35">
        <f t="shared" si="4"/>
        <v>6</v>
      </c>
      <c r="J20" s="35">
        <f t="shared" si="4"/>
        <v>1.1600000000000001</v>
      </c>
      <c r="K20" s="35">
        <f t="shared" si="4"/>
        <v>12</v>
      </c>
      <c r="L20" s="35">
        <f t="shared" si="4"/>
        <v>4</v>
      </c>
      <c r="M20" s="35">
        <f t="shared" si="4"/>
        <v>6</v>
      </c>
      <c r="N20" s="35">
        <f t="shared" si="4"/>
        <v>1.1600000000000001</v>
      </c>
      <c r="O20" s="35">
        <f>(D17*O17+D18*O18+D19*O19)/D20</f>
        <v>36</v>
      </c>
      <c r="P20" s="35" t="e">
        <f>(F17*P17+F18*P18+F19*P19)/F20</f>
        <v>#DIV/0!</v>
      </c>
    </row>
    <row r="21" spans="1:16" ht="38.25" customHeight="1" thickTop="1">
      <c r="A21" s="81" t="s">
        <v>25</v>
      </c>
      <c r="B21" s="81"/>
      <c r="C21" s="36">
        <f aca="true" t="shared" si="5" ref="C21:N21">C16+C20</f>
        <v>10</v>
      </c>
      <c r="D21" s="36">
        <f t="shared" si="5"/>
        <v>7.6</v>
      </c>
      <c r="E21" s="36">
        <f t="shared" si="5"/>
        <v>6</v>
      </c>
      <c r="F21" s="36">
        <f t="shared" si="5"/>
        <v>4.2</v>
      </c>
      <c r="G21" s="36">
        <f t="shared" si="5"/>
        <v>34</v>
      </c>
      <c r="H21" s="36">
        <f t="shared" si="5"/>
        <v>5.45</v>
      </c>
      <c r="I21" s="36">
        <f t="shared" si="5"/>
        <v>20</v>
      </c>
      <c r="J21" s="36">
        <f t="shared" si="5"/>
        <v>5.4399999999999995</v>
      </c>
      <c r="K21" s="36">
        <f t="shared" si="5"/>
        <v>44</v>
      </c>
      <c r="L21" s="36">
        <f t="shared" si="5"/>
        <v>13.05</v>
      </c>
      <c r="M21" s="36">
        <f t="shared" si="5"/>
        <v>26</v>
      </c>
      <c r="N21" s="36">
        <f t="shared" si="5"/>
        <v>9.639999999999999</v>
      </c>
      <c r="O21" s="36">
        <f>(O16*E16+O20*E20)/E21</f>
        <v>45.964285714285715</v>
      </c>
      <c r="P21" s="36" t="e">
        <f>(P16*F16+P20*F20)/F21</f>
        <v>#DIV/0!</v>
      </c>
    </row>
    <row r="22" spans="1:16" ht="54" customHeight="1">
      <c r="A22" s="81" t="s">
        <v>26</v>
      </c>
      <c r="B22" s="81"/>
      <c r="C22" s="36">
        <f aca="true" t="shared" si="6" ref="C22:N22">SUM(C21:C21)</f>
        <v>10</v>
      </c>
      <c r="D22" s="36">
        <f t="shared" si="6"/>
        <v>7.6</v>
      </c>
      <c r="E22" s="36">
        <f t="shared" si="6"/>
        <v>6</v>
      </c>
      <c r="F22" s="36">
        <f t="shared" si="6"/>
        <v>4.2</v>
      </c>
      <c r="G22" s="36">
        <f t="shared" si="6"/>
        <v>34</v>
      </c>
      <c r="H22" s="36">
        <f t="shared" si="6"/>
        <v>5.45</v>
      </c>
      <c r="I22" s="36">
        <f t="shared" si="6"/>
        <v>20</v>
      </c>
      <c r="J22" s="36">
        <f t="shared" si="6"/>
        <v>5.4399999999999995</v>
      </c>
      <c r="K22" s="36">
        <f t="shared" si="6"/>
        <v>44</v>
      </c>
      <c r="L22" s="36">
        <f t="shared" si="6"/>
        <v>13.05</v>
      </c>
      <c r="M22" s="36">
        <f t="shared" si="6"/>
        <v>26</v>
      </c>
      <c r="N22" s="36">
        <f t="shared" si="6"/>
        <v>9.639999999999999</v>
      </c>
      <c r="O22" s="36">
        <f>(O21*E21)/E22</f>
        <v>45.964285714285715</v>
      </c>
      <c r="P22" s="36" t="e">
        <f>(P21*F21)/F22</f>
        <v>#DIV/0!</v>
      </c>
    </row>
    <row r="23" spans="1:14" ht="15" customHeight="1">
      <c r="A23" s="68" t="s">
        <v>27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6" ht="18" customHeight="1">
      <c r="A24" s="30" t="s">
        <v>20</v>
      </c>
      <c r="B24" s="30" t="s">
        <v>28</v>
      </c>
      <c r="C24" s="39">
        <v>1</v>
      </c>
      <c r="D24" s="39">
        <v>0.2</v>
      </c>
      <c r="E24" s="39">
        <v>1</v>
      </c>
      <c r="F24" s="39">
        <v>0.45</v>
      </c>
      <c r="G24" s="39">
        <v>1</v>
      </c>
      <c r="H24" s="39">
        <v>0.0353</v>
      </c>
      <c r="I24" s="39">
        <v>0</v>
      </c>
      <c r="J24" s="39">
        <v>0</v>
      </c>
      <c r="K24" s="39">
        <f aca="true" t="shared" si="7" ref="K24:K30">C24+G24</f>
        <v>2</v>
      </c>
      <c r="L24" s="39">
        <f aca="true" t="shared" si="8" ref="L24:L30">D24+H24</f>
        <v>0.2353</v>
      </c>
      <c r="M24" s="39">
        <f aca="true" t="shared" si="9" ref="M24:M30">E24+I24</f>
        <v>1</v>
      </c>
      <c r="N24" s="39">
        <f aca="true" t="shared" si="10" ref="N24:N30">F24+J24</f>
        <v>0.45</v>
      </c>
      <c r="O24" s="39">
        <v>50</v>
      </c>
      <c r="P24" s="39">
        <f>(50*0.2+51*0.45)/F24</f>
        <v>73.22222222222223</v>
      </c>
    </row>
    <row r="25" spans="1:16" ht="14.25">
      <c r="A25" s="30" t="s">
        <v>20</v>
      </c>
      <c r="B25" s="30" t="s">
        <v>29</v>
      </c>
      <c r="C25" s="39">
        <v>2</v>
      </c>
      <c r="D25" s="39">
        <v>0.47</v>
      </c>
      <c r="E25" s="39">
        <v>2</v>
      </c>
      <c r="F25" s="39">
        <v>0.05</v>
      </c>
      <c r="G25" s="39">
        <v>0</v>
      </c>
      <c r="H25" s="39">
        <v>0</v>
      </c>
      <c r="I25" s="39">
        <v>0</v>
      </c>
      <c r="J25" s="39">
        <v>0</v>
      </c>
      <c r="K25" s="39">
        <f t="shared" si="7"/>
        <v>2</v>
      </c>
      <c r="L25" s="39">
        <f t="shared" si="8"/>
        <v>0.47</v>
      </c>
      <c r="M25" s="39">
        <f t="shared" si="9"/>
        <v>2</v>
      </c>
      <c r="N25" s="39">
        <f t="shared" si="10"/>
        <v>0.05</v>
      </c>
      <c r="O25" s="39">
        <v>46</v>
      </c>
      <c r="P25" s="39">
        <v>46</v>
      </c>
    </row>
    <row r="26" spans="1:16" ht="14.25">
      <c r="A26" s="30" t="s">
        <v>20</v>
      </c>
      <c r="B26" s="30" t="s">
        <v>30</v>
      </c>
      <c r="C26" s="39">
        <v>4</v>
      </c>
      <c r="D26" s="39">
        <v>2.1</v>
      </c>
      <c r="E26" s="39">
        <v>5</v>
      </c>
      <c r="F26" s="39">
        <v>1.3</v>
      </c>
      <c r="G26" s="39">
        <v>3</v>
      </c>
      <c r="H26" s="39">
        <v>0.1876</v>
      </c>
      <c r="I26" s="39">
        <v>0</v>
      </c>
      <c r="J26" s="39">
        <v>0</v>
      </c>
      <c r="K26" s="39">
        <f t="shared" si="7"/>
        <v>7</v>
      </c>
      <c r="L26" s="39">
        <f t="shared" si="8"/>
        <v>2.2876000000000003</v>
      </c>
      <c r="M26" s="39">
        <f t="shared" si="9"/>
        <v>5</v>
      </c>
      <c r="N26" s="39">
        <f t="shared" si="10"/>
        <v>1.3</v>
      </c>
      <c r="O26" s="39">
        <v>43</v>
      </c>
      <c r="P26" s="39">
        <v>43</v>
      </c>
    </row>
    <row r="27" spans="1:16" ht="14.25">
      <c r="A27" s="30" t="s">
        <v>20</v>
      </c>
      <c r="B27" s="30" t="s">
        <v>21</v>
      </c>
      <c r="C27" s="39">
        <v>3</v>
      </c>
      <c r="D27" s="39">
        <v>1.15</v>
      </c>
      <c r="E27" s="39">
        <v>1</v>
      </c>
      <c r="F27" s="39">
        <v>1</v>
      </c>
      <c r="G27" s="39">
        <v>0</v>
      </c>
      <c r="H27" s="39">
        <v>0</v>
      </c>
      <c r="I27" s="39">
        <v>0</v>
      </c>
      <c r="J27" s="39">
        <v>0</v>
      </c>
      <c r="K27" s="39">
        <f t="shared" si="7"/>
        <v>3</v>
      </c>
      <c r="L27" s="39">
        <f t="shared" si="8"/>
        <v>1.15</v>
      </c>
      <c r="M27" s="39">
        <f t="shared" si="9"/>
        <v>1</v>
      </c>
      <c r="N27" s="39">
        <f t="shared" si="10"/>
        <v>1</v>
      </c>
      <c r="O27" s="39">
        <v>40</v>
      </c>
      <c r="P27" s="39">
        <v>40</v>
      </c>
    </row>
    <row r="28" spans="1:16" ht="42.75">
      <c r="A28" s="30" t="s">
        <v>16</v>
      </c>
      <c r="B28" s="30" t="s">
        <v>31</v>
      </c>
      <c r="C28" s="39">
        <v>1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f t="shared" si="7"/>
        <v>1</v>
      </c>
      <c r="L28" s="39">
        <f t="shared" si="8"/>
        <v>1</v>
      </c>
      <c r="M28" s="39">
        <f t="shared" si="9"/>
        <v>0</v>
      </c>
      <c r="N28" s="39">
        <f t="shared" si="10"/>
        <v>0</v>
      </c>
      <c r="O28" s="39">
        <v>32</v>
      </c>
      <c r="P28" s="39">
        <v>32</v>
      </c>
    </row>
    <row r="29" spans="1:16" ht="14.25">
      <c r="A29" s="30" t="s">
        <v>10</v>
      </c>
      <c r="B29" s="30" t="s">
        <v>32</v>
      </c>
      <c r="C29" s="39">
        <v>1</v>
      </c>
      <c r="D29" s="39">
        <v>1</v>
      </c>
      <c r="E29" s="39">
        <v>1</v>
      </c>
      <c r="F29" s="39">
        <v>1</v>
      </c>
      <c r="G29" s="39">
        <v>2</v>
      </c>
      <c r="H29" s="39">
        <v>0.0082</v>
      </c>
      <c r="I29" s="39">
        <v>0</v>
      </c>
      <c r="J29" s="39">
        <v>0</v>
      </c>
      <c r="K29" s="39">
        <f t="shared" si="7"/>
        <v>3</v>
      </c>
      <c r="L29" s="39">
        <f t="shared" si="8"/>
        <v>1.0082</v>
      </c>
      <c r="M29" s="39">
        <f t="shared" si="9"/>
        <v>1</v>
      </c>
      <c r="N29" s="39">
        <f t="shared" si="10"/>
        <v>1</v>
      </c>
      <c r="O29" s="39">
        <v>47</v>
      </c>
      <c r="P29" s="39">
        <v>47</v>
      </c>
    </row>
    <row r="30" spans="1:16" ht="14.25">
      <c r="A30" s="30" t="s">
        <v>10</v>
      </c>
      <c r="B30" s="30" t="s">
        <v>33</v>
      </c>
      <c r="C30" s="39">
        <v>4</v>
      </c>
      <c r="D30" s="39">
        <v>4</v>
      </c>
      <c r="E30" s="39">
        <v>3</v>
      </c>
      <c r="F30" s="39">
        <v>3</v>
      </c>
      <c r="G30" s="39">
        <v>0</v>
      </c>
      <c r="H30" s="39">
        <v>0</v>
      </c>
      <c r="I30" s="39">
        <v>0</v>
      </c>
      <c r="J30" s="39">
        <v>0</v>
      </c>
      <c r="K30" s="39">
        <f t="shared" si="7"/>
        <v>4</v>
      </c>
      <c r="L30" s="39">
        <f t="shared" si="8"/>
        <v>4</v>
      </c>
      <c r="M30" s="39">
        <f t="shared" si="9"/>
        <v>3</v>
      </c>
      <c r="N30" s="39">
        <f t="shared" si="10"/>
        <v>3</v>
      </c>
      <c r="O30" s="39">
        <v>30</v>
      </c>
      <c r="P30" s="39">
        <v>30</v>
      </c>
    </row>
    <row r="31" spans="1:16" ht="30" customHeight="1">
      <c r="A31" s="90" t="s">
        <v>34</v>
      </c>
      <c r="B31" s="90"/>
      <c r="C31" s="32">
        <f aca="true" t="shared" si="11" ref="C31:N31">SUM(C24:C30)</f>
        <v>16</v>
      </c>
      <c r="D31" s="32">
        <f t="shared" si="11"/>
        <v>9.92</v>
      </c>
      <c r="E31" s="32">
        <f t="shared" si="11"/>
        <v>13</v>
      </c>
      <c r="F31" s="32">
        <f>SUM(F24:F30)</f>
        <v>6.8</v>
      </c>
      <c r="G31" s="32">
        <f t="shared" si="11"/>
        <v>6</v>
      </c>
      <c r="H31" s="32">
        <f t="shared" si="11"/>
        <v>0.2311</v>
      </c>
      <c r="I31" s="32">
        <f t="shared" si="11"/>
        <v>0</v>
      </c>
      <c r="J31" s="32">
        <f t="shared" si="11"/>
        <v>0</v>
      </c>
      <c r="K31" s="32">
        <f t="shared" si="11"/>
        <v>22</v>
      </c>
      <c r="L31" s="32">
        <f t="shared" si="11"/>
        <v>10.151100000000001</v>
      </c>
      <c r="M31" s="32">
        <f t="shared" si="11"/>
        <v>13</v>
      </c>
      <c r="N31" s="32">
        <f t="shared" si="11"/>
        <v>6.8</v>
      </c>
      <c r="O31" s="32">
        <f>(O24*E24+O25*E25+O26*E26+O27*E27+O28*E28+O29*E29+O30*E30)/E31</f>
        <v>41.07692307692308</v>
      </c>
      <c r="P31" s="32">
        <f>(P24*F24+P25*F25+P26*F26+P27*F27+P28*F28+P29*F29+P30*F30)/F31</f>
        <v>39.43382352941176</v>
      </c>
    </row>
    <row r="32" spans="1:14" ht="15" customHeight="1">
      <c r="A32" s="82" t="s">
        <v>35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ht="15" customHeight="1">
      <c r="A33" s="85" t="s">
        <v>36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6" ht="14.25">
      <c r="A34" s="37" t="s">
        <v>10</v>
      </c>
      <c r="B34" s="37" t="s">
        <v>38</v>
      </c>
      <c r="C34" s="38">
        <v>3</v>
      </c>
      <c r="D34" s="38">
        <v>2.5</v>
      </c>
      <c r="E34" s="38">
        <v>2</v>
      </c>
      <c r="F34" s="38">
        <v>1.3</v>
      </c>
      <c r="G34" s="38">
        <v>0</v>
      </c>
      <c r="H34" s="38">
        <v>0</v>
      </c>
      <c r="I34" s="38">
        <v>0</v>
      </c>
      <c r="J34" s="38">
        <v>0</v>
      </c>
      <c r="K34" s="38">
        <f aca="true" t="shared" si="12" ref="K34:K39">C34+G34</f>
        <v>3</v>
      </c>
      <c r="L34" s="38">
        <f aca="true" t="shared" si="13" ref="L34:L39">D34+H34</f>
        <v>2.5</v>
      </c>
      <c r="M34" s="38">
        <f aca="true" t="shared" si="14" ref="M34:M39">E34+I34</f>
        <v>2</v>
      </c>
      <c r="N34" s="38">
        <f aca="true" t="shared" si="15" ref="N34:N39">F34+J34</f>
        <v>1.3</v>
      </c>
      <c r="O34" s="38">
        <v>33</v>
      </c>
      <c r="P34" s="38">
        <v>33</v>
      </c>
    </row>
    <row r="35" spans="1:16" ht="14.25">
      <c r="A35" s="37" t="s">
        <v>10</v>
      </c>
      <c r="B35" s="37" t="s">
        <v>39</v>
      </c>
      <c r="C35" s="38">
        <v>3</v>
      </c>
      <c r="D35" s="38">
        <v>2.5</v>
      </c>
      <c r="E35" s="38">
        <v>2</v>
      </c>
      <c r="F35" s="38">
        <v>2</v>
      </c>
      <c r="G35" s="38">
        <v>0</v>
      </c>
      <c r="H35" s="38">
        <v>0</v>
      </c>
      <c r="I35" s="38">
        <v>0</v>
      </c>
      <c r="J35" s="38">
        <v>0</v>
      </c>
      <c r="K35" s="38">
        <f t="shared" si="12"/>
        <v>3</v>
      </c>
      <c r="L35" s="38">
        <f t="shared" si="13"/>
        <v>2.5</v>
      </c>
      <c r="M35" s="38">
        <f t="shared" si="14"/>
        <v>2</v>
      </c>
      <c r="N35" s="38">
        <f t="shared" si="15"/>
        <v>2</v>
      </c>
      <c r="O35" s="38">
        <v>32</v>
      </c>
      <c r="P35" s="38">
        <v>32</v>
      </c>
    </row>
    <row r="36" spans="1:16" ht="14.25">
      <c r="A36" s="37" t="s">
        <v>10</v>
      </c>
      <c r="B36" s="37" t="s">
        <v>40</v>
      </c>
      <c r="C36" s="38">
        <v>1</v>
      </c>
      <c r="D36" s="38">
        <v>1</v>
      </c>
      <c r="E36" s="38">
        <v>2</v>
      </c>
      <c r="F36" s="38">
        <v>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12"/>
        <v>1</v>
      </c>
      <c r="L36" s="38">
        <f t="shared" si="13"/>
        <v>1</v>
      </c>
      <c r="M36" s="38">
        <f t="shared" si="14"/>
        <v>2</v>
      </c>
      <c r="N36" s="38">
        <f t="shared" si="15"/>
        <v>2</v>
      </c>
      <c r="O36" s="38">
        <v>30</v>
      </c>
      <c r="P36" s="38">
        <v>30</v>
      </c>
    </row>
    <row r="37" spans="1:16" ht="14.25">
      <c r="A37" s="37" t="s">
        <v>10</v>
      </c>
      <c r="B37" s="37" t="s">
        <v>41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12"/>
        <v>0</v>
      </c>
      <c r="L37" s="38">
        <f t="shared" si="13"/>
        <v>0</v>
      </c>
      <c r="M37" s="38">
        <f t="shared" si="14"/>
        <v>0</v>
      </c>
      <c r="N37" s="38">
        <f t="shared" si="15"/>
        <v>0</v>
      </c>
      <c r="O37" s="38"/>
      <c r="P37" s="38"/>
    </row>
    <row r="38" spans="1:16" ht="14.25">
      <c r="A38" s="37" t="s">
        <v>37</v>
      </c>
      <c r="B38" s="37" t="s">
        <v>42</v>
      </c>
      <c r="C38" s="38">
        <v>1</v>
      </c>
      <c r="D38" s="38">
        <v>0.8</v>
      </c>
      <c r="E38" s="38">
        <v>2</v>
      </c>
      <c r="F38" s="38">
        <v>1.75</v>
      </c>
      <c r="G38" s="38">
        <v>0</v>
      </c>
      <c r="H38" s="38">
        <v>0</v>
      </c>
      <c r="I38" s="38">
        <v>0</v>
      </c>
      <c r="J38" s="38">
        <v>0</v>
      </c>
      <c r="K38" s="38">
        <f t="shared" si="12"/>
        <v>1</v>
      </c>
      <c r="L38" s="38">
        <f t="shared" si="13"/>
        <v>0.8</v>
      </c>
      <c r="M38" s="38">
        <f t="shared" si="14"/>
        <v>2</v>
      </c>
      <c r="N38" s="38">
        <f t="shared" si="15"/>
        <v>1.75</v>
      </c>
      <c r="O38" s="38">
        <v>27</v>
      </c>
      <c r="P38" s="38">
        <v>27</v>
      </c>
    </row>
    <row r="39" spans="1:16" ht="15" thickBot="1">
      <c r="A39" s="37" t="s">
        <v>43</v>
      </c>
      <c r="B39" s="37"/>
      <c r="C39" s="38">
        <v>1</v>
      </c>
      <c r="D39" s="38">
        <v>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f t="shared" si="12"/>
        <v>1</v>
      </c>
      <c r="L39" s="38">
        <f t="shared" si="13"/>
        <v>1</v>
      </c>
      <c r="M39" s="38">
        <f t="shared" si="14"/>
        <v>0</v>
      </c>
      <c r="N39" s="38">
        <f t="shared" si="15"/>
        <v>0</v>
      </c>
      <c r="O39" s="38">
        <v>21</v>
      </c>
      <c r="P39" s="38"/>
    </row>
    <row r="40" spans="1:16" ht="78" customHeight="1" thickBot="1" thickTop="1">
      <c r="A40" s="87" t="s">
        <v>44</v>
      </c>
      <c r="B40" s="88"/>
      <c r="C40" s="41">
        <f aca="true" t="shared" si="16" ref="C40:N40">SUM(C34:C39)</f>
        <v>9</v>
      </c>
      <c r="D40" s="41">
        <f t="shared" si="16"/>
        <v>7.8</v>
      </c>
      <c r="E40" s="41">
        <f t="shared" si="16"/>
        <v>8</v>
      </c>
      <c r="F40" s="41">
        <f>SUM(F34:F39)</f>
        <v>7.05</v>
      </c>
      <c r="G40" s="41">
        <f t="shared" si="16"/>
        <v>0</v>
      </c>
      <c r="H40" s="41">
        <f t="shared" si="16"/>
        <v>0</v>
      </c>
      <c r="I40" s="41">
        <f t="shared" si="16"/>
        <v>0</v>
      </c>
      <c r="J40" s="41">
        <f t="shared" si="16"/>
        <v>0</v>
      </c>
      <c r="K40" s="41">
        <f t="shared" si="16"/>
        <v>9</v>
      </c>
      <c r="L40" s="41">
        <f t="shared" si="16"/>
        <v>7.8</v>
      </c>
      <c r="M40" s="41">
        <f t="shared" si="16"/>
        <v>8</v>
      </c>
      <c r="N40" s="41">
        <f t="shared" si="16"/>
        <v>7.05</v>
      </c>
      <c r="O40" s="41">
        <f>(O34*E34+O35*E35+O36*E36+O37*E37+O38*E38+O39*E39)/E40</f>
        <v>30.5</v>
      </c>
      <c r="P40" s="41">
        <f>(P34*F34+P35*F35+P36*F36+P37*F37+P38*F38+P39*F39)/F40</f>
        <v>30.375886524822697</v>
      </c>
    </row>
    <row r="41" spans="1:16" ht="21.75" customHeight="1" thickTop="1">
      <c r="A41" s="81" t="s">
        <v>45</v>
      </c>
      <c r="B41" s="81"/>
      <c r="C41" s="36">
        <f>C9+C22+C31+C40</f>
        <v>36</v>
      </c>
      <c r="D41" s="36">
        <f>D9+D22+D31+D40</f>
        <v>26.32</v>
      </c>
      <c r="E41" s="36">
        <f>E9+E22+E31+E40</f>
        <v>28</v>
      </c>
      <c r="F41" s="36">
        <f>F9+F22+F31+F40</f>
        <v>19.05</v>
      </c>
      <c r="G41" s="36">
        <f>G9+G22+G31</f>
        <v>40</v>
      </c>
      <c r="H41" s="36">
        <f>H9+H22+H31</f>
        <v>5.6811</v>
      </c>
      <c r="I41" s="36">
        <f>I9+I16+I22+I31</f>
        <v>34</v>
      </c>
      <c r="J41" s="36">
        <f>J9+J16+J22+J31</f>
        <v>9.719999999999999</v>
      </c>
      <c r="K41" s="36">
        <f>K9+K22+K31</f>
        <v>67</v>
      </c>
      <c r="L41" s="36">
        <f>L9+L22+L31</f>
        <v>24.201100000000004</v>
      </c>
      <c r="M41" s="36">
        <f>M9+M22+M31</f>
        <v>40</v>
      </c>
      <c r="N41" s="36">
        <f>N9+N22+N31</f>
        <v>17.439999999999998</v>
      </c>
      <c r="O41" s="36">
        <f>(O9*E9+O16*E16+O22*E22+O31*E31)/(E9+E16+E22+E31)</f>
        <v>43.75274725274725</v>
      </c>
      <c r="P41" s="36" t="e">
        <f>(P9*F9+P16*F16+P22*F22+P31*F31)/(F9+F16+F22+F31)</f>
        <v>#DIV/0!</v>
      </c>
    </row>
    <row r="43" ht="14.25">
      <c r="A43" s="43" t="s">
        <v>57</v>
      </c>
    </row>
    <row r="44" ht="14.25">
      <c r="A44" s="24" t="str">
        <f>VZ!A12</f>
        <v>Novo mesto, 19. 7. 2016</v>
      </c>
    </row>
    <row r="46" spans="1:6" ht="14.25">
      <c r="A46" s="84" t="s">
        <v>58</v>
      </c>
      <c r="B46" s="84"/>
      <c r="E46" s="95" t="s">
        <v>59</v>
      </c>
      <c r="F46" s="95"/>
    </row>
    <row r="47" spans="1:5" ht="14.25">
      <c r="A47" s="24" t="str">
        <f>VZ!A18</f>
        <v>Nataša Lisec</v>
      </c>
      <c r="E47" s="25" t="str">
        <f>VZ!C18</f>
        <v>red. prof. dr. Nadja Damij</v>
      </c>
    </row>
    <row r="49" ht="14.25">
      <c r="A49" s="23"/>
    </row>
    <row r="50" spans="1:9" ht="37.5" customHeight="1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45.75" customHeight="1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31.5" customHeight="1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37.5" customHeight="1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31.5" customHeight="1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60" customHeight="1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37.5" customHeight="1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45.75" customHeight="1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23.25" customHeight="1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62.25" customHeight="1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66.75" customHeight="1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58.5" customHeight="1">
      <c r="A61" s="76"/>
      <c r="B61" s="77"/>
      <c r="C61" s="77"/>
      <c r="D61" s="77"/>
      <c r="E61" s="77"/>
      <c r="F61" s="77"/>
      <c r="G61" s="77"/>
      <c r="H61" s="77"/>
      <c r="I61" s="77"/>
    </row>
    <row r="62" spans="1:9" ht="16.5" customHeight="1">
      <c r="A62" s="75"/>
      <c r="B62" s="75"/>
      <c r="C62" s="75"/>
      <c r="D62" s="75"/>
      <c r="E62" s="75"/>
      <c r="F62" s="75"/>
      <c r="G62" s="75"/>
      <c r="H62" s="75"/>
      <c r="I62" s="75"/>
    </row>
    <row r="63" spans="1:9" ht="15.75" customHeight="1">
      <c r="A63" s="91"/>
      <c r="B63" s="89"/>
      <c r="C63" s="89"/>
      <c r="D63" s="89"/>
      <c r="E63" s="89"/>
      <c r="F63" s="89"/>
      <c r="G63" s="89"/>
      <c r="H63" s="89"/>
      <c r="I63" s="89"/>
    </row>
    <row r="64" spans="1:9" ht="15.75" customHeight="1">
      <c r="A64" s="89"/>
      <c r="B64" s="89"/>
      <c r="C64" s="89"/>
      <c r="D64" s="89"/>
      <c r="E64" s="89"/>
      <c r="F64" s="89"/>
      <c r="G64" s="89"/>
      <c r="H64" s="89"/>
      <c r="I64" s="89"/>
    </row>
    <row r="66" ht="13.5" customHeight="1"/>
  </sheetData>
  <sheetProtection/>
  <mergeCells count="39">
    <mergeCell ref="A64:I64"/>
    <mergeCell ref="A31:B31"/>
    <mergeCell ref="A63:I63"/>
    <mergeCell ref="A60:I60"/>
    <mergeCell ref="A56:I56"/>
    <mergeCell ref="A3:A5"/>
    <mergeCell ref="A51:I51"/>
    <mergeCell ref="E3:F4"/>
    <mergeCell ref="I3:J4"/>
    <mergeCell ref="E46:F46"/>
    <mergeCell ref="A23:N23"/>
    <mergeCell ref="A41:B41"/>
    <mergeCell ref="A46:B46"/>
    <mergeCell ref="A58:I58"/>
    <mergeCell ref="A54:I54"/>
    <mergeCell ref="A53:I53"/>
    <mergeCell ref="A52:I52"/>
    <mergeCell ref="A50:I50"/>
    <mergeCell ref="A33:N33"/>
    <mergeCell ref="A40:B40"/>
    <mergeCell ref="A59:I59"/>
    <mergeCell ref="A57:I57"/>
    <mergeCell ref="A62:I62"/>
    <mergeCell ref="A55:I55"/>
    <mergeCell ref="A61:I61"/>
    <mergeCell ref="A16:B16"/>
    <mergeCell ref="A20:B20"/>
    <mergeCell ref="A21:B21"/>
    <mergeCell ref="A22:B22"/>
    <mergeCell ref="A32:N32"/>
    <mergeCell ref="A10:N10"/>
    <mergeCell ref="C3:D4"/>
    <mergeCell ref="G3:H4"/>
    <mergeCell ref="B3:B5"/>
    <mergeCell ref="O3:P4"/>
    <mergeCell ref="A9:B9"/>
    <mergeCell ref="K3:L4"/>
    <mergeCell ref="M3:N4"/>
    <mergeCell ref="A7:N7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31.7109375" style="1" customWidth="1"/>
    <col min="2" max="2" width="16.140625" style="2" customWidth="1"/>
    <col min="3" max="3" width="16.00390625" style="2" customWidth="1"/>
    <col min="4" max="4" width="15.140625" style="2" customWidth="1"/>
    <col min="5" max="5" width="14.8515625" style="2" customWidth="1"/>
    <col min="6" max="6" width="14.57421875" style="2" customWidth="1"/>
    <col min="7" max="7" width="13.140625" style="2" customWidth="1"/>
    <col min="8" max="8" width="13.57421875" style="2" customWidth="1"/>
    <col min="9" max="16384" width="9.140625" style="2" customWidth="1"/>
  </cols>
  <sheetData>
    <row r="1" ht="14.25">
      <c r="A1" t="s">
        <v>94</v>
      </c>
    </row>
    <row r="3" spans="1:7" ht="15" customHeight="1">
      <c r="A3" s="96"/>
      <c r="B3" s="99" t="s">
        <v>50</v>
      </c>
      <c r="C3" s="100"/>
      <c r="D3" s="99" t="s">
        <v>46</v>
      </c>
      <c r="E3" s="100"/>
      <c r="F3" s="99" t="s">
        <v>63</v>
      </c>
      <c r="G3" s="100"/>
    </row>
    <row r="4" spans="1:7" ht="36" customHeight="1">
      <c r="A4" s="96"/>
      <c r="B4" s="42" t="s">
        <v>114</v>
      </c>
      <c r="C4" s="42" t="s">
        <v>115</v>
      </c>
      <c r="D4" s="42" t="s">
        <v>114</v>
      </c>
      <c r="E4" s="42" t="s">
        <v>115</v>
      </c>
      <c r="F4" s="42" t="s">
        <v>114</v>
      </c>
      <c r="G4" s="42" t="s">
        <v>115</v>
      </c>
    </row>
    <row r="5" spans="1:7" ht="42.75">
      <c r="A5" s="45" t="s">
        <v>51</v>
      </c>
      <c r="B5" s="46">
        <v>14</v>
      </c>
      <c r="C5" s="46">
        <v>14</v>
      </c>
      <c r="D5" s="46">
        <v>7</v>
      </c>
      <c r="E5" s="46">
        <v>5</v>
      </c>
      <c r="F5" s="46">
        <v>18</v>
      </c>
      <c r="G5" s="46">
        <v>18</v>
      </c>
    </row>
    <row r="6" spans="1:7" ht="42.75">
      <c r="A6" s="45" t="s">
        <v>47</v>
      </c>
      <c r="B6" s="46">
        <v>24752.55</v>
      </c>
      <c r="C6" s="46">
        <f>C10-C8</f>
        <v>20324.18</v>
      </c>
      <c r="D6" s="46">
        <v>14939.4</v>
      </c>
      <c r="E6" s="46">
        <f>G6-C6</f>
        <v>10312.019999999997</v>
      </c>
      <c r="F6" s="46">
        <v>40625.388</v>
      </c>
      <c r="G6" s="46">
        <f>0.7*G10</f>
        <v>30636.199999999997</v>
      </c>
    </row>
    <row r="7" spans="1:7" ht="42.75">
      <c r="A7" s="47" t="s">
        <v>52</v>
      </c>
      <c r="B7" s="48">
        <v>6</v>
      </c>
      <c r="C7" s="48">
        <v>5</v>
      </c>
      <c r="D7" s="48">
        <v>1</v>
      </c>
      <c r="E7" s="48">
        <v>1</v>
      </c>
      <c r="F7" s="48">
        <v>6</v>
      </c>
      <c r="G7" s="48">
        <v>6</v>
      </c>
    </row>
    <row r="8" spans="1:8" ht="43.5" thickBot="1">
      <c r="A8" s="49" t="s">
        <v>48</v>
      </c>
      <c r="B8" s="50">
        <v>17570.18</v>
      </c>
      <c r="C8" s="50">
        <f>G8-E8</f>
        <v>11816.82</v>
      </c>
      <c r="D8" s="50">
        <v>2000.32</v>
      </c>
      <c r="E8" s="50">
        <f>0.1*G8</f>
        <v>1312.98</v>
      </c>
      <c r="F8" s="50">
        <v>19570.5</v>
      </c>
      <c r="G8" s="50">
        <f>0.3*G10</f>
        <v>13129.8</v>
      </c>
      <c r="H8" s="64"/>
    </row>
    <row r="9" spans="1:7" ht="43.5" thickTop="1">
      <c r="A9" s="51" t="s">
        <v>53</v>
      </c>
      <c r="B9" s="52">
        <v>14</v>
      </c>
      <c r="C9" s="52">
        <v>14</v>
      </c>
      <c r="D9" s="53">
        <v>7</v>
      </c>
      <c r="E9" s="53">
        <v>5</v>
      </c>
      <c r="F9" s="53">
        <v>20</v>
      </c>
      <c r="G9" s="53">
        <v>21</v>
      </c>
    </row>
    <row r="10" spans="1:7" ht="60.75" customHeight="1">
      <c r="A10" s="51" t="s">
        <v>66</v>
      </c>
      <c r="B10" s="52">
        <f>B6+B8</f>
        <v>42322.729999999996</v>
      </c>
      <c r="C10" s="52">
        <v>32141</v>
      </c>
      <c r="D10" s="53">
        <f>D6+D8</f>
        <v>16939.72</v>
      </c>
      <c r="E10" s="53">
        <f>G10-C10</f>
        <v>11625</v>
      </c>
      <c r="F10" s="53">
        <v>60195.888</v>
      </c>
      <c r="G10" s="53">
        <v>43766</v>
      </c>
    </row>
    <row r="12" ht="14.25">
      <c r="A12" s="43" t="s">
        <v>57</v>
      </c>
    </row>
    <row r="13" ht="14.25">
      <c r="A13" s="44" t="str">
        <f>VZ!A12</f>
        <v>Novo mesto, 19. 7. 2016</v>
      </c>
    </row>
    <row r="14" ht="14.25">
      <c r="A14" s="2"/>
    </row>
    <row r="15" spans="1:5" ht="14.25">
      <c r="A15" s="54" t="s">
        <v>58</v>
      </c>
      <c r="B15" s="54"/>
      <c r="E15" s="23" t="s">
        <v>59</v>
      </c>
    </row>
    <row r="16" spans="1:5" ht="14.25">
      <c r="A16" s="44" t="str">
        <f>VZ!A18</f>
        <v>Nataša Lisec</v>
      </c>
      <c r="E16" s="44" t="str">
        <f>VZ!C18</f>
        <v>red. prof. dr. Nadja Damij</v>
      </c>
    </row>
    <row r="18" spans="1:7" ht="14.25">
      <c r="A18" s="77" t="s">
        <v>49</v>
      </c>
      <c r="B18" s="77"/>
      <c r="C18" s="77"/>
      <c r="D18" s="77"/>
      <c r="E18" s="77"/>
      <c r="F18" s="77"/>
      <c r="G18" s="77"/>
    </row>
    <row r="19" spans="1:7" ht="38.25" customHeight="1">
      <c r="A19" s="76" t="s">
        <v>68</v>
      </c>
      <c r="B19" s="77"/>
      <c r="C19" s="77"/>
      <c r="D19" s="77"/>
      <c r="E19" s="77"/>
      <c r="F19" s="77"/>
      <c r="G19" s="77"/>
    </row>
    <row r="20" spans="1:7" ht="38.25" customHeight="1">
      <c r="A20" s="76" t="s">
        <v>69</v>
      </c>
      <c r="B20" s="77"/>
      <c r="C20" s="77"/>
      <c r="D20" s="77"/>
      <c r="E20" s="77"/>
      <c r="F20" s="77"/>
      <c r="G20" s="77"/>
    </row>
    <row r="21" spans="1:7" ht="38.25" customHeight="1">
      <c r="A21" s="76" t="s">
        <v>67</v>
      </c>
      <c r="B21" s="77"/>
      <c r="C21" s="77"/>
      <c r="D21" s="77"/>
      <c r="E21" s="77"/>
      <c r="F21" s="77"/>
      <c r="G21" s="77"/>
    </row>
    <row r="22" spans="1:7" ht="30" customHeight="1">
      <c r="A22" s="97" t="s">
        <v>79</v>
      </c>
      <c r="B22" s="98"/>
      <c r="C22" s="98"/>
      <c r="D22" s="98"/>
      <c r="E22" s="98"/>
      <c r="F22" s="98"/>
      <c r="G22" s="98"/>
    </row>
    <row r="23" spans="1:7" ht="14.25">
      <c r="A23" s="91" t="s">
        <v>65</v>
      </c>
      <c r="B23" s="89"/>
      <c r="C23" s="89"/>
      <c r="D23" s="89"/>
      <c r="E23" s="89"/>
      <c r="F23" s="89"/>
      <c r="G23" s="89"/>
    </row>
  </sheetData>
  <sheetProtection/>
  <mergeCells count="10">
    <mergeCell ref="A18:G18"/>
    <mergeCell ref="A19:G19"/>
    <mergeCell ref="A3:A4"/>
    <mergeCell ref="A22:G22"/>
    <mergeCell ref="A23:G23"/>
    <mergeCell ref="A21:G21"/>
    <mergeCell ref="A20:G20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0" zoomScaleNormal="70" zoomScalePageLayoutView="0" workbookViewId="0" topLeftCell="A1">
      <selection activeCell="C34" sqref="C34:C35"/>
    </sheetView>
  </sheetViews>
  <sheetFormatPr defaultColWidth="9.140625" defaultRowHeight="15"/>
  <cols>
    <col min="1" max="1" width="17.28125" style="0" customWidth="1"/>
    <col min="2" max="2" width="39.7109375" style="0" bestFit="1" customWidth="1"/>
    <col min="3" max="3" width="16.7109375" style="0" customWidth="1"/>
    <col min="4" max="4" width="17.7109375" style="0" customWidth="1"/>
    <col min="5" max="5" width="18.57421875" style="0" customWidth="1"/>
    <col min="6" max="6" width="14.57421875" style="0" customWidth="1"/>
  </cols>
  <sheetData>
    <row r="1" ht="14.25">
      <c r="A1" t="s">
        <v>87</v>
      </c>
    </row>
    <row r="3" spans="1:5" s="60" customFormat="1" ht="35.25" customHeight="1">
      <c r="A3" s="101" t="s">
        <v>88</v>
      </c>
      <c r="B3" s="101" t="s">
        <v>80</v>
      </c>
      <c r="C3" s="101" t="s">
        <v>81</v>
      </c>
      <c r="D3" s="102" t="s">
        <v>85</v>
      </c>
      <c r="E3" s="103"/>
    </row>
    <row r="4" spans="1:5" s="59" customFormat="1" ht="73.5" customHeight="1">
      <c r="A4" s="101"/>
      <c r="B4" s="101"/>
      <c r="C4" s="101"/>
      <c r="D4" s="61" t="s">
        <v>82</v>
      </c>
      <c r="E4" s="61" t="s">
        <v>83</v>
      </c>
    </row>
    <row r="5" spans="1:5" ht="14.25">
      <c r="A5" s="57" t="s">
        <v>118</v>
      </c>
      <c r="B5" s="57" t="s">
        <v>120</v>
      </c>
      <c r="C5" s="57">
        <v>33</v>
      </c>
      <c r="D5" s="57">
        <v>1</v>
      </c>
      <c r="E5" s="65" t="s">
        <v>122</v>
      </c>
    </row>
    <row r="6" spans="1:5" ht="14.25">
      <c r="A6" s="57" t="s">
        <v>118</v>
      </c>
      <c r="B6" s="57" t="s">
        <v>119</v>
      </c>
      <c r="C6" s="57">
        <v>40</v>
      </c>
      <c r="D6" s="57">
        <v>1</v>
      </c>
      <c r="E6" s="65">
        <v>2616.92</v>
      </c>
    </row>
    <row r="7" spans="1:5" ht="14.25">
      <c r="A7" s="57" t="s">
        <v>118</v>
      </c>
      <c r="B7" s="57" t="s">
        <v>121</v>
      </c>
      <c r="C7" s="57">
        <v>39</v>
      </c>
      <c r="D7" s="57">
        <v>1</v>
      </c>
      <c r="E7" s="65">
        <v>2830.16</v>
      </c>
    </row>
    <row r="8" spans="1:5" ht="14.25">
      <c r="A8" s="57"/>
      <c r="B8" s="57"/>
      <c r="C8" s="57"/>
      <c r="D8" s="57"/>
      <c r="E8" s="57"/>
    </row>
    <row r="9" spans="1:5" ht="14.25">
      <c r="A9" s="57"/>
      <c r="B9" s="57"/>
      <c r="C9" s="57"/>
      <c r="D9" s="57"/>
      <c r="E9" s="57"/>
    </row>
    <row r="10" spans="1:5" ht="14.25">
      <c r="A10" s="57"/>
      <c r="B10" s="57"/>
      <c r="C10" s="57"/>
      <c r="D10" s="57"/>
      <c r="E10" s="57"/>
    </row>
    <row r="11" spans="1:5" ht="14.25">
      <c r="A11" s="57"/>
      <c r="B11" s="57"/>
      <c r="C11" s="57"/>
      <c r="D11" s="57"/>
      <c r="E11" s="57"/>
    </row>
    <row r="12" spans="1:5" ht="14.25">
      <c r="A12" s="57"/>
      <c r="B12" s="57"/>
      <c r="C12" s="57"/>
      <c r="D12" s="57"/>
      <c r="E12" s="57"/>
    </row>
    <row r="13" spans="1:5" ht="14.25">
      <c r="A13" s="57"/>
      <c r="B13" s="57"/>
      <c r="C13" s="57"/>
      <c r="D13" s="57"/>
      <c r="E13" s="57"/>
    </row>
    <row r="14" spans="1:5" ht="14.25">
      <c r="A14" s="57"/>
      <c r="B14" s="57"/>
      <c r="C14" s="57"/>
      <c r="D14" s="57"/>
      <c r="E14" s="57"/>
    </row>
    <row r="15" spans="1:5" ht="14.25">
      <c r="A15" s="57"/>
      <c r="B15" s="57"/>
      <c r="C15" s="57"/>
      <c r="D15" s="57"/>
      <c r="E15" s="57"/>
    </row>
    <row r="16" spans="1:5" ht="14.25">
      <c r="A16" s="57"/>
      <c r="B16" s="57"/>
      <c r="C16" s="57"/>
      <c r="D16" s="57"/>
      <c r="E16" s="57"/>
    </row>
    <row r="17" spans="1:5" s="58" customFormat="1" ht="14.25">
      <c r="A17" s="62" t="s">
        <v>84</v>
      </c>
      <c r="B17" s="62"/>
      <c r="C17" s="62"/>
      <c r="D17" s="62"/>
      <c r="E17" s="62"/>
    </row>
    <row r="19" ht="14.25">
      <c r="A19" t="s">
        <v>86</v>
      </c>
    </row>
    <row r="22" s="2" customFormat="1" ht="14.25">
      <c r="A22" s="43" t="s">
        <v>57</v>
      </c>
    </row>
    <row r="23" s="2" customFormat="1" ht="14.25">
      <c r="A23" s="44" t="str">
        <f>VZ!A12</f>
        <v>Novo mesto, 19. 7. 2016</v>
      </c>
    </row>
    <row r="24" s="2" customFormat="1" ht="14.25"/>
    <row r="25" spans="1:5" s="2" customFormat="1" ht="28.5">
      <c r="A25" s="54" t="s">
        <v>58</v>
      </c>
      <c r="B25" s="54"/>
      <c r="E25" s="23" t="s">
        <v>59</v>
      </c>
    </row>
    <row r="26" spans="1:5" s="2" customFormat="1" ht="14.25">
      <c r="A26" s="44" t="str">
        <f>VZ!A18</f>
        <v>Nataša Lisec</v>
      </c>
      <c r="E26" s="44" t="str">
        <f>VZ!C18</f>
        <v>red. prof. dr. Nadja Damij</v>
      </c>
    </row>
  </sheetData>
  <sheetProtection/>
  <mergeCells count="4"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Nataša Lisec</cp:lastModifiedBy>
  <cp:lastPrinted>2016-07-29T07:52:28Z</cp:lastPrinted>
  <dcterms:created xsi:type="dcterms:W3CDTF">2010-11-09T18:04:23Z</dcterms:created>
  <dcterms:modified xsi:type="dcterms:W3CDTF">2016-07-29T07:52:31Z</dcterms:modified>
  <cp:category/>
  <cp:version/>
  <cp:contentType/>
  <cp:contentStatus/>
</cp:coreProperties>
</file>